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phdisegutl-my.sharepoint.com/personal/pafernandes_iseg_ulisboa_pt/Documents/1. ISEG/3. Sustainability, Accountability and Ethics/Dist Alunos/"/>
    </mc:Choice>
  </mc:AlternateContent>
  <xr:revisionPtr revIDLastSave="287" documentId="13_ncr:1_{CD27FF42-4B1F-44A5-A3CF-296AACC6FD7D}" xr6:coauthVersionLast="47" xr6:coauthVersionMax="47" xr10:uidLastSave="{1E97C612-9E49-4565-8E82-A8E2FFB0DC9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J90" i="1"/>
  <c r="J83" i="1"/>
  <c r="M93" i="1"/>
  <c r="J87" i="1"/>
  <c r="J43" i="1"/>
  <c r="K65" i="1"/>
  <c r="K64" i="1"/>
  <c r="K63" i="1"/>
  <c r="O67" i="1"/>
  <c r="O68" i="1"/>
  <c r="K66" i="1"/>
  <c r="M94" i="1"/>
  <c r="M86" i="1"/>
  <c r="M85" i="1"/>
  <c r="J82" i="1"/>
  <c r="O72" i="1"/>
  <c r="O71" i="1"/>
  <c r="I50" i="1"/>
  <c r="J48" i="1"/>
  <c r="J47" i="1"/>
  <c r="J46" i="1"/>
  <c r="J45" i="1"/>
  <c r="J44" i="1"/>
  <c r="J40" i="1"/>
  <c r="J39" i="1"/>
  <c r="J38" i="1"/>
  <c r="J37" i="1"/>
  <c r="I28" i="1"/>
  <c r="J19" i="1"/>
  <c r="K19" i="1"/>
  <c r="J20" i="1"/>
  <c r="K20" i="1"/>
  <c r="J21" i="1"/>
  <c r="K21" i="1"/>
  <c r="J22" i="1"/>
  <c r="K22" i="1"/>
  <c r="I22" i="1"/>
  <c r="I21" i="1"/>
  <c r="I20" i="1"/>
  <c r="I19" i="1"/>
  <c r="J16" i="1"/>
  <c r="K16" i="1"/>
  <c r="I16" i="1"/>
  <c r="J15" i="1"/>
  <c r="K15" i="1"/>
  <c r="I15" i="1"/>
  <c r="J10" i="1"/>
  <c r="K10" i="1"/>
  <c r="I10" i="1"/>
  <c r="J9" i="1"/>
  <c r="K9" i="1"/>
  <c r="I9" i="1"/>
  <c r="J8" i="1"/>
  <c r="K8" i="1"/>
  <c r="I8" i="1"/>
  <c r="J7" i="1"/>
  <c r="K7" i="1"/>
  <c r="I7" i="1"/>
  <c r="J6" i="1"/>
  <c r="K6" i="1"/>
  <c r="I6" i="1"/>
  <c r="J24" i="1"/>
  <c r="K24" i="1"/>
  <c r="I24" i="1"/>
  <c r="D26" i="1"/>
  <c r="E26" i="1"/>
  <c r="C26" i="1"/>
  <c r="D24" i="1"/>
  <c r="E24" i="1"/>
  <c r="C24" i="1"/>
  <c r="D22" i="1"/>
  <c r="E22" i="1"/>
  <c r="C22" i="1"/>
  <c r="D14" i="1"/>
  <c r="E14" i="1"/>
  <c r="C14" i="1"/>
  <c r="D11" i="1"/>
  <c r="E11" i="1"/>
  <c r="C11" i="1"/>
  <c r="D9" i="1"/>
  <c r="E9" i="1"/>
  <c r="C9" i="1"/>
  <c r="J91" i="1" l="1"/>
  <c r="K95" i="1" s="1"/>
</calcChain>
</file>

<file path=xl/sharedStrings.xml><?xml version="1.0" encoding="utf-8"?>
<sst xmlns="http://schemas.openxmlformats.org/spreadsheetml/2006/main" count="138" uniqueCount="108">
  <si>
    <t>Sustainability, Accountability and Ethics</t>
  </si>
  <si>
    <t>Exercises</t>
  </si>
  <si>
    <t>Managerial Balance Sheet</t>
  </si>
  <si>
    <t>Year-end 1</t>
  </si>
  <si>
    <t>Year-end 2</t>
  </si>
  <si>
    <t>Year-end 3</t>
  </si>
  <si>
    <t>Cash</t>
  </si>
  <si>
    <t>Working Capital</t>
  </si>
  <si>
    <t>Net Fixed Assets</t>
  </si>
  <si>
    <t>Total Invested Capital</t>
  </si>
  <si>
    <t>Short-term debt</t>
  </si>
  <si>
    <t>Long-term financing</t>
  </si>
  <si>
    <t>Long-term debt</t>
  </si>
  <si>
    <t>Owner's Equity</t>
  </si>
  <si>
    <t>Total Capital Employed</t>
  </si>
  <si>
    <t>Income Statement</t>
  </si>
  <si>
    <t>Sales</t>
  </si>
  <si>
    <t>COGS</t>
  </si>
  <si>
    <t>Selling and General Expenses</t>
  </si>
  <si>
    <t>Depreciation Expenses</t>
  </si>
  <si>
    <t>EBIT</t>
  </si>
  <si>
    <t>Net Interest Expenses</t>
  </si>
  <si>
    <t>EBT</t>
  </si>
  <si>
    <t>Income Tax Expense</t>
  </si>
  <si>
    <t>EAT</t>
  </si>
  <si>
    <t>Debt</t>
  </si>
  <si>
    <t>D/E</t>
  </si>
  <si>
    <t>D/A</t>
  </si>
  <si>
    <t>Solvency</t>
  </si>
  <si>
    <t>Interest Coverage Ratio</t>
  </si>
  <si>
    <t>(EAT+Depreciations)/Liabilities</t>
  </si>
  <si>
    <t>a)</t>
  </si>
  <si>
    <t>b)</t>
  </si>
  <si>
    <t>ROA</t>
  </si>
  <si>
    <t>ROE</t>
  </si>
  <si>
    <t>EAT/Assets</t>
  </si>
  <si>
    <t>EBIT/Intesrest Expenses</t>
  </si>
  <si>
    <t>EAT/Owners' Equity</t>
  </si>
  <si>
    <t>c)</t>
  </si>
  <si>
    <t>Operating Margin</t>
  </si>
  <si>
    <t>EBIT/Sales</t>
  </si>
  <si>
    <t>Invested Capital Turnover</t>
  </si>
  <si>
    <t>Sales/Invested Capital</t>
  </si>
  <si>
    <t>Financial Multiplier</t>
  </si>
  <si>
    <t>EBT/EBIT*Invested Capital/Owners' Equity</t>
  </si>
  <si>
    <t>Tax effect</t>
  </si>
  <si>
    <t>EAT/EBT</t>
  </si>
  <si>
    <t>d)</t>
  </si>
  <si>
    <t>Value Creation</t>
  </si>
  <si>
    <t xml:space="preserve">    Cost of Equity</t>
  </si>
  <si>
    <t>Economic Value Added = (ROIC - WACC)*Invested Capital</t>
  </si>
  <si>
    <t>For Year FY3</t>
  </si>
  <si>
    <t>ROIC=EBIT*(1-tax rate)/invested capital=NOPAT/invested capital</t>
  </si>
  <si>
    <t>Tax Rate</t>
  </si>
  <si>
    <t>Invested Capital</t>
  </si>
  <si>
    <t>ROIC</t>
  </si>
  <si>
    <t>WACC=kd*(1-tax rate)*%debt+ke*%equity</t>
  </si>
  <si>
    <t>Kd (cost of debt)</t>
  </si>
  <si>
    <t>%Debt</t>
  </si>
  <si>
    <t>ke</t>
  </si>
  <si>
    <t>%Equity</t>
  </si>
  <si>
    <t>Net Interest Expenses/Debt(n-1)</t>
  </si>
  <si>
    <t>note that teh return on equity is lower than the cost of equity</t>
  </si>
  <si>
    <t>WACC</t>
  </si>
  <si>
    <t>EVA</t>
  </si>
  <si>
    <t>negative</t>
  </si>
  <si>
    <t>e)</t>
  </si>
  <si>
    <t>Exercises Resolution</t>
  </si>
  <si>
    <t>Average Collection Period</t>
  </si>
  <si>
    <t>Average Payment Period</t>
  </si>
  <si>
    <t>days</t>
  </si>
  <si>
    <t>Inventory Turnover</t>
  </si>
  <si>
    <t>Initial Inventory (FY3)</t>
  </si>
  <si>
    <t>Year</t>
  </si>
  <si>
    <t>Benchmark</t>
  </si>
  <si>
    <t>Average Accounts Payable</t>
  </si>
  <si>
    <t>(Accounts Payable end/Purchases)*365</t>
  </si>
  <si>
    <t>(Accounts Receivable end/average sales)*365</t>
  </si>
  <si>
    <t>COGS/Ending Inventories</t>
  </si>
  <si>
    <t>Annual Purchases</t>
  </si>
  <si>
    <t>COGS+Final Inventory-Initial Inventory</t>
  </si>
  <si>
    <t>WCR</t>
  </si>
  <si>
    <t>WCR=operating assets-operating liabilities=(accounts receivable+inventories+prepaid expenses)-(accounts payable+accrued expenses)</t>
  </si>
  <si>
    <t>Operational Performance (Our Company)</t>
  </si>
  <si>
    <t>Accounts Receivable</t>
  </si>
  <si>
    <t>Accounts Payable</t>
  </si>
  <si>
    <t>Accrued Expenses</t>
  </si>
  <si>
    <t>Self-Sustainable Growth Exercise</t>
  </si>
  <si>
    <t>All equity financed</t>
  </si>
  <si>
    <t>Payout Ratio</t>
  </si>
  <si>
    <t>Asset Turnover Ratio</t>
  </si>
  <si>
    <t>Net Sales/Total Assets</t>
  </si>
  <si>
    <t>Profit Margin</t>
  </si>
  <si>
    <t>Target Growth in Sales</t>
  </si>
  <si>
    <t>Retention Rate</t>
  </si>
  <si>
    <t>ROE=ROICbt*Financial Multiplier*Tax effect</t>
  </si>
  <si>
    <t>Tax Effect</t>
  </si>
  <si>
    <t>ROICbt</t>
  </si>
  <si>
    <t>Operating Margin*IC Turnover</t>
  </si>
  <si>
    <t>g*company</t>
  </si>
  <si>
    <t>Retention Rate*Return on Equity</t>
  </si>
  <si>
    <t>&lt;5%</t>
  </si>
  <si>
    <t>If the company could borrow at 10%</t>
  </si>
  <si>
    <t>Prepaid Expenses</t>
  </si>
  <si>
    <t>Inventories End</t>
  </si>
  <si>
    <t>Assume no accounts payable</t>
  </si>
  <si>
    <t>g*</t>
  </si>
  <si>
    <t>Financial Multiplier=IC/OE*kd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</si>
</sst>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2" xfId="0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2" xfId="0" applyNumberFormat="1" applyFont="1" applyBorder="1"/>
    <xf numFmtId="9" fontId="1" fillId="0" borderId="0" xfId="1" applyFont="1"/>
    <xf numFmtId="10" fontId="1" fillId="0" borderId="0" xfId="1" applyNumberFormat="1" applyFont="1"/>
    <xf numFmtId="165" fontId="1" fillId="0" borderId="0" xfId="0" applyNumberFormat="1" applyFont="1"/>
    <xf numFmtId="2" fontId="1" fillId="0" borderId="0" xfId="0" applyNumberFormat="1" applyFont="1"/>
    <xf numFmtId="9" fontId="1" fillId="0" borderId="0" xfId="0" applyNumberFormat="1" applyFont="1"/>
    <xf numFmtId="10" fontId="1" fillId="0" borderId="0" xfId="0" applyNumberFormat="1" applyFont="1"/>
    <xf numFmtId="0" fontId="5" fillId="0" borderId="0" xfId="0" applyFont="1"/>
    <xf numFmtId="0" fontId="2" fillId="0" borderId="3" xfId="0" applyFont="1" applyBorder="1"/>
    <xf numFmtId="9" fontId="2" fillId="0" borderId="4" xfId="1" applyFont="1" applyBorder="1"/>
    <xf numFmtId="10" fontId="1" fillId="0" borderId="4" xfId="0" applyNumberFormat="1" applyFont="1" applyBorder="1"/>
    <xf numFmtId="164" fontId="1" fillId="0" borderId="5" xfId="0" applyNumberFormat="1" applyFont="1" applyBorder="1"/>
    <xf numFmtId="0" fontId="5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6" fillId="0" borderId="0" xfId="0" applyFont="1"/>
    <xf numFmtId="0" fontId="7" fillId="2" borderId="0" xfId="0" applyFont="1" applyFill="1"/>
    <xf numFmtId="10" fontId="2" fillId="0" borderId="0" xfId="0" applyNumberFormat="1" applyFont="1"/>
    <xf numFmtId="0" fontId="8" fillId="3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showGridLines="0" tabSelected="1" topLeftCell="E47" zoomScale="115" zoomScaleNormal="115" workbookViewId="0">
      <selection activeCell="K63" sqref="K63"/>
    </sheetView>
  </sheetViews>
  <sheetFormatPr defaultColWidth="8.7109375" defaultRowHeight="15" x14ac:dyDescent="0.25"/>
  <cols>
    <col min="1" max="1" width="8.7109375" style="1"/>
    <col min="2" max="2" width="23.85546875" style="1" customWidth="1"/>
    <col min="3" max="5" width="11.7109375" style="1" bestFit="1" customWidth="1"/>
    <col min="6" max="7" width="8.7109375" style="1"/>
    <col min="8" max="8" width="22.5703125" style="1" customWidth="1"/>
    <col min="9" max="9" width="14.85546875" style="1" customWidth="1"/>
    <col min="10" max="10" width="53.140625" style="1" bestFit="1" customWidth="1"/>
    <col min="11" max="11" width="40.85546875" style="1" bestFit="1" customWidth="1"/>
    <col min="12" max="13" width="8.7109375" style="1"/>
    <col min="14" max="14" width="27.85546875" style="1" bestFit="1" customWidth="1"/>
    <col min="15" max="15" width="11.140625" style="1" bestFit="1" customWidth="1"/>
    <col min="16" max="16384" width="8.7109375" style="1"/>
  </cols>
  <sheetData>
    <row r="1" spans="1:12" x14ac:dyDescent="0.25">
      <c r="A1" s="2" t="s">
        <v>0</v>
      </c>
    </row>
    <row r="2" spans="1:12" ht="15.75" thickBot="1" x14ac:dyDescent="0.3">
      <c r="A2" s="2" t="s">
        <v>1</v>
      </c>
    </row>
    <row r="3" spans="1:12" ht="15.75" thickBot="1" x14ac:dyDescent="0.3">
      <c r="H3" s="33" t="s">
        <v>67</v>
      </c>
      <c r="I3" s="34"/>
      <c r="J3" s="34"/>
      <c r="K3" s="35"/>
    </row>
    <row r="5" spans="1:12" x14ac:dyDescent="0.25">
      <c r="B5" s="3" t="s">
        <v>2</v>
      </c>
      <c r="C5" s="4" t="s">
        <v>3</v>
      </c>
      <c r="D5" s="4" t="s">
        <v>4</v>
      </c>
      <c r="E5" s="4" t="s">
        <v>5</v>
      </c>
      <c r="H5" s="27" t="s">
        <v>31</v>
      </c>
      <c r="I5" s="4" t="s">
        <v>3</v>
      </c>
      <c r="J5" s="4" t="s">
        <v>4</v>
      </c>
      <c r="K5" s="4" t="s">
        <v>5</v>
      </c>
    </row>
    <row r="6" spans="1:12" x14ac:dyDescent="0.25">
      <c r="B6" s="1" t="s">
        <v>6</v>
      </c>
      <c r="C6" s="7">
        <v>600</v>
      </c>
      <c r="D6" s="7">
        <v>350</v>
      </c>
      <c r="E6" s="7">
        <v>300</v>
      </c>
      <c r="H6" s="6" t="s">
        <v>25</v>
      </c>
      <c r="I6" s="7">
        <f>C10+C12</f>
        <v>1600</v>
      </c>
      <c r="J6" s="7">
        <f t="shared" ref="J6:K6" si="0">D10+D12</f>
        <v>1700</v>
      </c>
      <c r="K6" s="7">
        <f t="shared" si="0"/>
        <v>3000</v>
      </c>
    </row>
    <row r="7" spans="1:12" x14ac:dyDescent="0.25">
      <c r="B7" s="1" t="s">
        <v>7</v>
      </c>
      <c r="C7" s="7">
        <v>3930</v>
      </c>
      <c r="D7" s="7">
        <v>4440</v>
      </c>
      <c r="E7" s="7">
        <v>6100</v>
      </c>
      <c r="H7" s="6" t="s">
        <v>26</v>
      </c>
      <c r="I7" s="10">
        <f>I6/C13</f>
        <v>0.38740920096852299</v>
      </c>
      <c r="J7" s="10">
        <f t="shared" ref="J7:K7" si="1">J6/D13</f>
        <v>0.38724373576309795</v>
      </c>
      <c r="K7" s="10">
        <f t="shared" si="1"/>
        <v>0.61855670103092786</v>
      </c>
    </row>
    <row r="8" spans="1:12" x14ac:dyDescent="0.25">
      <c r="B8" s="1" t="s">
        <v>8</v>
      </c>
      <c r="C8" s="7">
        <v>1200</v>
      </c>
      <c r="D8" s="7">
        <v>1300</v>
      </c>
      <c r="E8" s="7">
        <v>1450</v>
      </c>
      <c r="H8" s="6" t="s">
        <v>27</v>
      </c>
      <c r="I8" s="10">
        <f>I6/C9</f>
        <v>0.27923211169284468</v>
      </c>
      <c r="J8" s="10">
        <f t="shared" ref="J8:K8" si="2">J6/D9</f>
        <v>0.27914614121510672</v>
      </c>
      <c r="K8" s="10">
        <f t="shared" si="2"/>
        <v>0.38216560509554143</v>
      </c>
    </row>
    <row r="9" spans="1:12" ht="15.75" thickBot="1" x14ac:dyDescent="0.3">
      <c r="B9" s="5" t="s">
        <v>9</v>
      </c>
      <c r="C9" s="8">
        <f>SUM(C6:C8)</f>
        <v>5730</v>
      </c>
      <c r="D9" s="8">
        <f t="shared" ref="D9:E9" si="3">SUM(D6:D8)</f>
        <v>6090</v>
      </c>
      <c r="E9" s="8">
        <f t="shared" si="3"/>
        <v>7850</v>
      </c>
      <c r="H9" s="6" t="s">
        <v>28</v>
      </c>
      <c r="I9" s="9">
        <f>(C26+C21)/I6</f>
        <v>0.26250000000000001</v>
      </c>
      <c r="J9" s="9">
        <f t="shared" ref="J9:K9" si="4">(D26+D21)/J6</f>
        <v>0.32941176470588235</v>
      </c>
      <c r="K9" s="9">
        <f t="shared" si="4"/>
        <v>0.27</v>
      </c>
      <c r="L9" s="1" t="s">
        <v>30</v>
      </c>
    </row>
    <row r="10" spans="1:12" ht="15.75" thickTop="1" x14ac:dyDescent="0.25">
      <c r="B10" s="1" t="s">
        <v>10</v>
      </c>
      <c r="C10" s="7">
        <v>300</v>
      </c>
      <c r="D10" s="7">
        <v>500</v>
      </c>
      <c r="E10" s="7">
        <v>1900</v>
      </c>
      <c r="H10" s="6" t="s">
        <v>29</v>
      </c>
      <c r="I10" s="12">
        <f>C22/C23</f>
        <v>5.9090909090909092</v>
      </c>
      <c r="J10" s="12">
        <f t="shared" ref="J10:K10" si="5">D22/D23</f>
        <v>6.9230769230769234</v>
      </c>
      <c r="K10" s="12">
        <f t="shared" si="5"/>
        <v>5.1923076923076925</v>
      </c>
      <c r="L10" s="1" t="s">
        <v>36</v>
      </c>
    </row>
    <row r="11" spans="1:12" x14ac:dyDescent="0.25">
      <c r="B11" s="6" t="s">
        <v>11</v>
      </c>
      <c r="C11" s="7">
        <f>C12+C13</f>
        <v>5430</v>
      </c>
      <c r="D11" s="7">
        <f t="shared" ref="D11:E11" si="6">D12+D13</f>
        <v>5590</v>
      </c>
      <c r="E11" s="7">
        <f t="shared" si="6"/>
        <v>5950</v>
      </c>
    </row>
    <row r="12" spans="1:12" x14ac:dyDescent="0.25">
      <c r="B12" s="1" t="s">
        <v>12</v>
      </c>
      <c r="C12" s="7">
        <v>1300</v>
      </c>
      <c r="D12" s="7">
        <v>1200</v>
      </c>
      <c r="E12" s="7">
        <v>1100</v>
      </c>
    </row>
    <row r="13" spans="1:12" x14ac:dyDescent="0.25">
      <c r="B13" s="1" t="s">
        <v>13</v>
      </c>
      <c r="C13" s="7">
        <v>4130</v>
      </c>
      <c r="D13" s="7">
        <v>4390</v>
      </c>
      <c r="E13" s="7">
        <v>4850</v>
      </c>
    </row>
    <row r="14" spans="1:12" ht="15.75" thickBot="1" x14ac:dyDescent="0.3">
      <c r="B14" s="5" t="s">
        <v>14</v>
      </c>
      <c r="C14" s="8">
        <f>C11+C10</f>
        <v>5730</v>
      </c>
      <c r="D14" s="8">
        <f t="shared" ref="D14:E14" si="7">D11+D10</f>
        <v>6090</v>
      </c>
      <c r="E14" s="8">
        <f t="shared" si="7"/>
        <v>7850</v>
      </c>
      <c r="H14" s="27" t="s">
        <v>32</v>
      </c>
      <c r="I14" s="4" t="s">
        <v>3</v>
      </c>
      <c r="J14" s="4" t="s">
        <v>4</v>
      </c>
      <c r="K14" s="4" t="s">
        <v>5</v>
      </c>
    </row>
    <row r="15" spans="1:12" ht="15.75" thickTop="1" x14ac:dyDescent="0.25">
      <c r="H15" s="1" t="s">
        <v>33</v>
      </c>
      <c r="I15" s="9">
        <f>C26/C9</f>
        <v>5.5846422338568937E-2</v>
      </c>
      <c r="J15" s="9">
        <f t="shared" ref="J15:K15" si="8">D26/D9</f>
        <v>7.5533661740558297E-2</v>
      </c>
      <c r="K15" s="9">
        <f t="shared" si="8"/>
        <v>8.4076433121019103E-2</v>
      </c>
      <c r="L15" s="1" t="s">
        <v>35</v>
      </c>
    </row>
    <row r="16" spans="1:12" x14ac:dyDescent="0.25">
      <c r="H16" s="1" t="s">
        <v>34</v>
      </c>
      <c r="I16" s="9">
        <f>C26/C13</f>
        <v>7.7481840193704604E-2</v>
      </c>
      <c r="J16" s="9">
        <f t="shared" ref="J16:K16" si="9">D26/D13</f>
        <v>0.10478359908883828</v>
      </c>
      <c r="K16" s="9">
        <f t="shared" si="9"/>
        <v>0.13608247422680411</v>
      </c>
      <c r="L16" s="1" t="s">
        <v>37</v>
      </c>
    </row>
    <row r="17" spans="2:12" x14ac:dyDescent="0.25">
      <c r="B17" s="3" t="s">
        <v>15</v>
      </c>
      <c r="C17" s="4" t="s">
        <v>3</v>
      </c>
      <c r="D17" s="4" t="s">
        <v>4</v>
      </c>
      <c r="E17" s="4" t="s">
        <v>5</v>
      </c>
    </row>
    <row r="18" spans="2:12" x14ac:dyDescent="0.25">
      <c r="B18" s="1" t="s">
        <v>16</v>
      </c>
      <c r="C18" s="7">
        <v>22100</v>
      </c>
      <c r="D18" s="7">
        <v>24300</v>
      </c>
      <c r="E18" s="7">
        <v>31600</v>
      </c>
      <c r="H18" s="27" t="s">
        <v>38</v>
      </c>
      <c r="I18" s="4" t="s">
        <v>3</v>
      </c>
      <c r="J18" s="4" t="s">
        <v>4</v>
      </c>
      <c r="K18" s="4" t="s">
        <v>5</v>
      </c>
    </row>
    <row r="19" spans="2:12" x14ac:dyDescent="0.25">
      <c r="B19" s="1" t="s">
        <v>17</v>
      </c>
      <c r="C19" s="7">
        <v>17600</v>
      </c>
      <c r="D19" s="7">
        <v>19300</v>
      </c>
      <c r="E19" s="7">
        <v>25100</v>
      </c>
      <c r="H19" s="1" t="s">
        <v>39</v>
      </c>
      <c r="I19" s="11">
        <f>C22/C18</f>
        <v>2.9411764705882353E-2</v>
      </c>
      <c r="J19" s="11">
        <f t="shared" ref="J19:K19" si="10">D22/D18</f>
        <v>3.7037037037037035E-2</v>
      </c>
      <c r="K19" s="11">
        <f t="shared" si="10"/>
        <v>4.2721518987341771E-2</v>
      </c>
      <c r="L19" s="1" t="s">
        <v>40</v>
      </c>
    </row>
    <row r="20" spans="2:12" x14ac:dyDescent="0.25">
      <c r="B20" s="1" t="s">
        <v>18</v>
      </c>
      <c r="C20" s="7">
        <v>3750</v>
      </c>
      <c r="D20" s="7">
        <v>4000</v>
      </c>
      <c r="E20" s="7">
        <v>5000</v>
      </c>
      <c r="H20" s="1" t="s">
        <v>41</v>
      </c>
      <c r="I20" s="11">
        <f>C18/C9</f>
        <v>3.8568935427574171</v>
      </c>
      <c r="J20" s="11">
        <f t="shared" ref="J20:K20" si="11">D18/D9</f>
        <v>3.9901477832512313</v>
      </c>
      <c r="K20" s="11">
        <f t="shared" si="11"/>
        <v>4.0254777070063694</v>
      </c>
      <c r="L20" s="1" t="s">
        <v>42</v>
      </c>
    </row>
    <row r="21" spans="2:12" x14ac:dyDescent="0.25">
      <c r="B21" s="1" t="s">
        <v>19</v>
      </c>
      <c r="C21" s="7">
        <v>100</v>
      </c>
      <c r="D21" s="7">
        <v>100</v>
      </c>
      <c r="E21" s="7">
        <v>150</v>
      </c>
      <c r="H21" s="1" t="s">
        <v>43</v>
      </c>
      <c r="I21" s="11">
        <f>C24/C22*C9/C13</f>
        <v>1.152616874650773</v>
      </c>
      <c r="J21" s="11">
        <f t="shared" ref="J21:K21" si="12">D24/D22*D9/D13</f>
        <v>1.1868640850417616</v>
      </c>
      <c r="K21" s="11">
        <f t="shared" si="12"/>
        <v>1.3068346697212678</v>
      </c>
      <c r="L21" s="1" t="s">
        <v>44</v>
      </c>
    </row>
    <row r="22" spans="2:12" ht="15.75" thickBot="1" x14ac:dyDescent="0.3">
      <c r="B22" s="5" t="s">
        <v>20</v>
      </c>
      <c r="C22" s="8">
        <f>C18-C19-C20-C21</f>
        <v>650</v>
      </c>
      <c r="D22" s="8">
        <f t="shared" ref="D22:E22" si="13">D18-D19-D20-D21</f>
        <v>900</v>
      </c>
      <c r="E22" s="8">
        <f t="shared" si="13"/>
        <v>1350</v>
      </c>
      <c r="H22" s="1" t="s">
        <v>45</v>
      </c>
      <c r="I22" s="11">
        <f>C26/C24</f>
        <v>0.59259259259259256</v>
      </c>
      <c r="J22" s="11">
        <f t="shared" ref="J22:K22" si="14">D26/D24</f>
        <v>0.59740259740259738</v>
      </c>
      <c r="K22" s="11">
        <f t="shared" si="14"/>
        <v>0.60550458715596334</v>
      </c>
      <c r="L22" s="1" t="s">
        <v>46</v>
      </c>
    </row>
    <row r="23" spans="2:12" ht="15.75" thickTop="1" x14ac:dyDescent="0.25">
      <c r="B23" s="1" t="s">
        <v>21</v>
      </c>
      <c r="C23" s="7">
        <v>110</v>
      </c>
      <c r="D23" s="7">
        <v>130</v>
      </c>
      <c r="E23" s="7">
        <v>260</v>
      </c>
    </row>
    <row r="24" spans="2:12" ht="15.75" thickBot="1" x14ac:dyDescent="0.3">
      <c r="B24" s="5" t="s">
        <v>22</v>
      </c>
      <c r="C24" s="8">
        <f>C22-C23</f>
        <v>540</v>
      </c>
      <c r="D24" s="8">
        <f t="shared" ref="D24:E24" si="15">D22-D23</f>
        <v>770</v>
      </c>
      <c r="E24" s="8">
        <f t="shared" si="15"/>
        <v>1090</v>
      </c>
      <c r="H24" s="1" t="s">
        <v>34</v>
      </c>
      <c r="I24" s="9">
        <f>I22*I21*I20*I19</f>
        <v>7.7481840193704604E-2</v>
      </c>
      <c r="J24" s="9">
        <f t="shared" ref="J24:K24" si="16">J22*J21*J20*J19</f>
        <v>0.10478359908883826</v>
      </c>
      <c r="K24" s="9">
        <f t="shared" si="16"/>
        <v>0.13608247422680414</v>
      </c>
    </row>
    <row r="25" spans="2:12" ht="15.75" thickTop="1" x14ac:dyDescent="0.25">
      <c r="B25" s="1" t="s">
        <v>23</v>
      </c>
      <c r="C25" s="7">
        <v>220</v>
      </c>
      <c r="D25" s="7">
        <v>310</v>
      </c>
      <c r="E25" s="7">
        <v>430</v>
      </c>
    </row>
    <row r="26" spans="2:12" ht="15.75" thickBot="1" x14ac:dyDescent="0.3">
      <c r="B26" s="5" t="s">
        <v>24</v>
      </c>
      <c r="C26" s="8">
        <f>C24-C25</f>
        <v>320</v>
      </c>
      <c r="D26" s="8">
        <f t="shared" ref="D26:E26" si="17">D24-D25</f>
        <v>460</v>
      </c>
      <c r="E26" s="8">
        <f t="shared" si="17"/>
        <v>660</v>
      </c>
      <c r="H26" s="27" t="s">
        <v>47</v>
      </c>
    </row>
    <row r="27" spans="2:12" ht="15.75" thickTop="1" x14ac:dyDescent="0.25">
      <c r="H27" s="1" t="s">
        <v>48</v>
      </c>
    </row>
    <row r="28" spans="2:12" x14ac:dyDescent="0.25">
      <c r="H28" s="1" t="s">
        <v>49</v>
      </c>
      <c r="I28" s="10">
        <f>14.55%</f>
        <v>0.14550000000000002</v>
      </c>
      <c r="J28" s="15" t="s">
        <v>62</v>
      </c>
    </row>
    <row r="30" spans="2:12" x14ac:dyDescent="0.25">
      <c r="H30" s="1" t="s">
        <v>50</v>
      </c>
    </row>
    <row r="34" spans="8:11" x14ac:dyDescent="0.25">
      <c r="H34" s="1" t="s">
        <v>51</v>
      </c>
    </row>
    <row r="36" spans="8:11" x14ac:dyDescent="0.25">
      <c r="H36" s="1" t="s">
        <v>52</v>
      </c>
    </row>
    <row r="37" spans="8:11" x14ac:dyDescent="0.25">
      <c r="I37" s="1" t="s">
        <v>20</v>
      </c>
      <c r="J37" s="7">
        <f>E22</f>
        <v>1350</v>
      </c>
    </row>
    <row r="38" spans="8:11" x14ac:dyDescent="0.25">
      <c r="I38" s="1" t="s">
        <v>53</v>
      </c>
      <c r="J38" s="9">
        <f>E25/E24</f>
        <v>0.39449541284403672</v>
      </c>
    </row>
    <row r="39" spans="8:11" ht="15.75" thickBot="1" x14ac:dyDescent="0.3">
      <c r="I39" s="1" t="s">
        <v>54</v>
      </c>
      <c r="J39" s="7">
        <f>E9</f>
        <v>7850</v>
      </c>
    </row>
    <row r="40" spans="8:11" ht="15.75" thickBot="1" x14ac:dyDescent="0.3">
      <c r="I40" s="16" t="s">
        <v>55</v>
      </c>
      <c r="J40" s="17">
        <f>J37*(1-J38)/J39</f>
        <v>0.1041313621223631</v>
      </c>
    </row>
    <row r="42" spans="8:11" x14ac:dyDescent="0.25">
      <c r="H42" s="1" t="s">
        <v>56</v>
      </c>
    </row>
    <row r="43" spans="8:11" x14ac:dyDescent="0.25">
      <c r="I43" s="1" t="s">
        <v>57</v>
      </c>
      <c r="J43" s="10">
        <f>E23/(E10+E12)</f>
        <v>8.666666666666667E-2</v>
      </c>
      <c r="K43" s="1" t="s">
        <v>61</v>
      </c>
    </row>
    <row r="44" spans="8:11" x14ac:dyDescent="0.25">
      <c r="I44" s="1" t="s">
        <v>53</v>
      </c>
      <c r="J44" s="13">
        <f>J38</f>
        <v>0.39449541284403672</v>
      </c>
    </row>
    <row r="45" spans="8:11" x14ac:dyDescent="0.25">
      <c r="I45" s="1" t="s">
        <v>58</v>
      </c>
      <c r="J45" s="9">
        <f>(E12+E10)/E14</f>
        <v>0.38216560509554143</v>
      </c>
    </row>
    <row r="46" spans="8:11" x14ac:dyDescent="0.25">
      <c r="I46" s="1" t="s">
        <v>59</v>
      </c>
      <c r="J46" s="14">
        <f>I28</f>
        <v>0.14550000000000002</v>
      </c>
    </row>
    <row r="47" spans="8:11" ht="15.75" thickBot="1" x14ac:dyDescent="0.3">
      <c r="I47" s="1" t="s">
        <v>60</v>
      </c>
      <c r="J47" s="13">
        <f>1-J45</f>
        <v>0.61783439490445857</v>
      </c>
    </row>
    <row r="48" spans="8:11" ht="15.75" thickBot="1" x14ac:dyDescent="0.3">
      <c r="I48" s="16" t="s">
        <v>63</v>
      </c>
      <c r="J48" s="18">
        <f>J43*(1-J44)*J45+J46*J47</f>
        <v>0.10994983345994275</v>
      </c>
    </row>
    <row r="49" spans="8:12" ht="15.75" thickBot="1" x14ac:dyDescent="0.3"/>
    <row r="50" spans="8:12" ht="15.75" thickBot="1" x14ac:dyDescent="0.3">
      <c r="H50" s="16" t="s">
        <v>64</v>
      </c>
      <c r="I50" s="19">
        <f>(J40-J48)*J39</f>
        <v>-45.675000000000253</v>
      </c>
      <c r="J50" s="20" t="s">
        <v>65</v>
      </c>
    </row>
    <row r="53" spans="8:12" ht="15.75" thickBot="1" x14ac:dyDescent="0.3">
      <c r="H53" s="27" t="s">
        <v>66</v>
      </c>
    </row>
    <row r="54" spans="8:12" x14ac:dyDescent="0.25">
      <c r="H54" s="21" t="s">
        <v>68</v>
      </c>
      <c r="I54" s="22">
        <v>30</v>
      </c>
      <c r="J54" s="22" t="s">
        <v>70</v>
      </c>
      <c r="K54" s="36" t="s">
        <v>74</v>
      </c>
    </row>
    <row r="55" spans="8:12" x14ac:dyDescent="0.25">
      <c r="H55" s="23" t="s">
        <v>69</v>
      </c>
      <c r="I55" s="1">
        <v>33</v>
      </c>
      <c r="J55" s="1" t="s">
        <v>70</v>
      </c>
      <c r="K55" s="37"/>
    </row>
    <row r="56" spans="8:12" ht="15.75" thickBot="1" x14ac:dyDescent="0.3">
      <c r="H56" s="24" t="s">
        <v>71</v>
      </c>
      <c r="I56" s="25">
        <v>8</v>
      </c>
      <c r="J56" s="25"/>
      <c r="K56" s="38"/>
    </row>
    <row r="57" spans="8:12" x14ac:dyDescent="0.25">
      <c r="H57" s="1" t="s">
        <v>72</v>
      </c>
      <c r="I57" s="7">
        <v>3200</v>
      </c>
    </row>
    <row r="58" spans="8:12" x14ac:dyDescent="0.25">
      <c r="H58" s="1" t="s">
        <v>73</v>
      </c>
      <c r="I58" s="1">
        <v>365</v>
      </c>
      <c r="J58" s="1" t="s">
        <v>70</v>
      </c>
    </row>
    <row r="61" spans="8:12" x14ac:dyDescent="0.25">
      <c r="I61" s="26" t="s">
        <v>83</v>
      </c>
    </row>
    <row r="62" spans="8:12" x14ac:dyDescent="0.25">
      <c r="I62" s="1" t="s">
        <v>68</v>
      </c>
      <c r="K62" s="30">
        <f>O67/E18*365</f>
        <v>38.463607594936711</v>
      </c>
      <c r="L62" s="1" t="s">
        <v>77</v>
      </c>
    </row>
    <row r="63" spans="8:12" x14ac:dyDescent="0.25">
      <c r="I63" s="1" t="s">
        <v>75</v>
      </c>
      <c r="K63" s="30">
        <f>0</f>
        <v>0</v>
      </c>
      <c r="L63" s="1" t="s">
        <v>76</v>
      </c>
    </row>
    <row r="64" spans="8:12" x14ac:dyDescent="0.25">
      <c r="I64" s="1" t="s">
        <v>71</v>
      </c>
      <c r="K64" s="30">
        <f>E19/O68</f>
        <v>7.84375</v>
      </c>
      <c r="L64" s="1" t="s">
        <v>78</v>
      </c>
    </row>
    <row r="65" spans="8:16" x14ac:dyDescent="0.25">
      <c r="I65" s="1" t="s">
        <v>79</v>
      </c>
      <c r="K65" s="31">
        <f>E19</f>
        <v>25100</v>
      </c>
      <c r="L65" s="1" t="s">
        <v>80</v>
      </c>
    </row>
    <row r="66" spans="8:16" x14ac:dyDescent="0.25">
      <c r="I66" s="1" t="s">
        <v>81</v>
      </c>
      <c r="K66" s="31">
        <f>E7</f>
        <v>6100</v>
      </c>
      <c r="L66" s="1" t="s">
        <v>82</v>
      </c>
    </row>
    <row r="67" spans="8:16" x14ac:dyDescent="0.25">
      <c r="M67" s="1" t="s">
        <v>84</v>
      </c>
      <c r="O67" s="32">
        <f>O71-O68+O72</f>
        <v>3330</v>
      </c>
    </row>
    <row r="68" spans="8:16" x14ac:dyDescent="0.25">
      <c r="M68" s="1" t="s">
        <v>104</v>
      </c>
      <c r="O68" s="32">
        <f>I57</f>
        <v>3200</v>
      </c>
    </row>
    <row r="69" spans="8:16" x14ac:dyDescent="0.25">
      <c r="M69" s="1" t="s">
        <v>103</v>
      </c>
      <c r="O69" s="32">
        <v>0</v>
      </c>
    </row>
    <row r="70" spans="8:16" x14ac:dyDescent="0.25">
      <c r="M70" s="1" t="s">
        <v>85</v>
      </c>
      <c r="O70" s="32">
        <v>0</v>
      </c>
      <c r="P70" s="1" t="s">
        <v>105</v>
      </c>
    </row>
    <row r="71" spans="8:16" x14ac:dyDescent="0.25">
      <c r="M71" s="1" t="s">
        <v>7</v>
      </c>
      <c r="O71" s="7">
        <f>E7</f>
        <v>6100</v>
      </c>
    </row>
    <row r="72" spans="8:16" ht="15.75" thickBot="1" x14ac:dyDescent="0.3">
      <c r="M72" s="1" t="s">
        <v>86</v>
      </c>
      <c r="O72" s="7">
        <f>E25</f>
        <v>430</v>
      </c>
    </row>
    <row r="73" spans="8:16" ht="15.75" thickBot="1" x14ac:dyDescent="0.3">
      <c r="H73" s="33" t="s">
        <v>87</v>
      </c>
      <c r="I73" s="34"/>
      <c r="J73" s="34"/>
      <c r="K73" s="35"/>
    </row>
    <row r="75" spans="8:16" x14ac:dyDescent="0.25">
      <c r="H75" s="1" t="s">
        <v>88</v>
      </c>
    </row>
    <row r="76" spans="8:16" x14ac:dyDescent="0.25">
      <c r="H76" s="1" t="s">
        <v>89</v>
      </c>
      <c r="I76" s="13">
        <v>0.4</v>
      </c>
    </row>
    <row r="77" spans="8:16" x14ac:dyDescent="0.25">
      <c r="H77" s="1" t="s">
        <v>90</v>
      </c>
      <c r="I77" s="1">
        <v>0.9</v>
      </c>
      <c r="J77" s="1" t="s">
        <v>91</v>
      </c>
    </row>
    <row r="78" spans="8:16" x14ac:dyDescent="0.25">
      <c r="H78" s="1" t="s">
        <v>92</v>
      </c>
      <c r="I78" s="13">
        <v>0.08</v>
      </c>
    </row>
    <row r="79" spans="8:16" x14ac:dyDescent="0.25">
      <c r="H79" s="1" t="s">
        <v>53</v>
      </c>
      <c r="I79" s="13">
        <v>0.4</v>
      </c>
    </row>
    <row r="80" spans="8:16" x14ac:dyDescent="0.25">
      <c r="H80" s="1" t="s">
        <v>93</v>
      </c>
      <c r="I80" s="13">
        <v>0.05</v>
      </c>
    </row>
    <row r="82" spans="8:14" x14ac:dyDescent="0.25">
      <c r="I82" s="1" t="s">
        <v>94</v>
      </c>
      <c r="J82" s="13">
        <f>1-I76</f>
        <v>0.6</v>
      </c>
    </row>
    <row r="83" spans="8:14" x14ac:dyDescent="0.25">
      <c r="I83" s="1" t="s">
        <v>34</v>
      </c>
      <c r="J83" s="10">
        <f>M84*M85*M86</f>
        <v>4.3200000000000002E-2</v>
      </c>
      <c r="K83" s="1" t="s">
        <v>95</v>
      </c>
    </row>
    <row r="84" spans="8:14" x14ac:dyDescent="0.25">
      <c r="K84" s="1" t="s">
        <v>43</v>
      </c>
      <c r="M84" s="1">
        <v>1</v>
      </c>
    </row>
    <row r="85" spans="8:14" x14ac:dyDescent="0.25">
      <c r="K85" s="1" t="s">
        <v>96</v>
      </c>
      <c r="M85" s="13">
        <f>1-I79</f>
        <v>0.6</v>
      </c>
    </row>
    <row r="86" spans="8:14" x14ac:dyDescent="0.25">
      <c r="K86" s="1" t="s">
        <v>97</v>
      </c>
      <c r="M86" s="10">
        <f>I77*I78</f>
        <v>7.2000000000000008E-2</v>
      </c>
      <c r="N86" s="1" t="s">
        <v>98</v>
      </c>
    </row>
    <row r="87" spans="8:14" x14ac:dyDescent="0.25">
      <c r="I87" s="2" t="s">
        <v>99</v>
      </c>
      <c r="J87" s="28">
        <f>J82*J83</f>
        <v>2.5920000000000002E-2</v>
      </c>
      <c r="K87" s="1" t="s">
        <v>100</v>
      </c>
      <c r="N87" s="1" t="s">
        <v>101</v>
      </c>
    </row>
    <row r="89" spans="8:14" x14ac:dyDescent="0.25">
      <c r="H89" s="1" t="s">
        <v>102</v>
      </c>
    </row>
    <row r="90" spans="8:14" x14ac:dyDescent="0.25">
      <c r="I90" s="1" t="s">
        <v>94</v>
      </c>
      <c r="J90" s="13">
        <f>J82</f>
        <v>0.6</v>
      </c>
    </row>
    <row r="91" spans="8:14" x14ac:dyDescent="0.25">
      <c r="I91" s="1" t="s">
        <v>34</v>
      </c>
      <c r="J91" s="10">
        <f>M92*M93*M94</f>
        <v>8.3333333333333356E-2</v>
      </c>
      <c r="K91" s="1" t="s">
        <v>95</v>
      </c>
    </row>
    <row r="92" spans="8:14" x14ac:dyDescent="0.25">
      <c r="K92" s="1" t="s">
        <v>43</v>
      </c>
      <c r="M92" s="29">
        <v>1.9290123456790127</v>
      </c>
    </row>
    <row r="93" spans="8:14" x14ac:dyDescent="0.25">
      <c r="K93" s="1" t="s">
        <v>96</v>
      </c>
      <c r="M93" s="13">
        <f>1-I79</f>
        <v>0.6</v>
      </c>
    </row>
    <row r="94" spans="8:14" x14ac:dyDescent="0.25">
      <c r="K94" s="1" t="s">
        <v>97</v>
      </c>
      <c r="M94" s="10">
        <f>I77*I78</f>
        <v>7.2000000000000008E-2</v>
      </c>
      <c r="N94" s="1" t="s">
        <v>98</v>
      </c>
    </row>
    <row r="95" spans="8:14" x14ac:dyDescent="0.25">
      <c r="J95" s="1" t="s">
        <v>106</v>
      </c>
      <c r="K95" s="14">
        <f>J91*J90</f>
        <v>5.000000000000001E-2</v>
      </c>
    </row>
    <row r="97" spans="11:11" x14ac:dyDescent="0.25">
      <c r="K97" s="1" t="s">
        <v>107</v>
      </c>
    </row>
  </sheetData>
  <mergeCells count="3">
    <mergeCell ref="H3:K3"/>
    <mergeCell ref="K54:K56"/>
    <mergeCell ref="H73:K7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Fernandes</dc:creator>
  <cp:lastModifiedBy>PEDRO FILIPE MOREIRA BRITES DE ALMEIDA FERNANDES</cp:lastModifiedBy>
  <dcterms:created xsi:type="dcterms:W3CDTF">2015-06-05T18:17:20Z</dcterms:created>
  <dcterms:modified xsi:type="dcterms:W3CDTF">2024-10-09T12:13:53Z</dcterms:modified>
</cp:coreProperties>
</file>